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15 &amp; 375/8. Workgroup Report/Annex 11 - worked examples of how the calculations will work/"/>
    </mc:Choice>
  </mc:AlternateContent>
  <xr:revisionPtr revIDLastSave="2" documentId="8_{59B1D99B-E77C-466C-A256-750932091DCF}" xr6:coauthVersionLast="47" xr6:coauthVersionMax="47" xr10:uidLastSave="{E8DF5B5A-AB79-4DFD-86EA-97A8659EE3FA}"/>
  <bookViews>
    <workbookView xWindow="-110" yWindow="-110" windowWidth="19420" windowHeight="12420" firstSheet="3" activeTab="3" xr2:uid="{1A94F227-DC5A-4D38-82E6-7F982A00A343}"/>
  </bookViews>
  <sheets>
    <sheet name="Guide" sheetId="8" r:id="rId1"/>
    <sheet name="CMP 375 - figure 7 WG rep" sheetId="6" r:id="rId2"/>
    <sheet name="CMP315 subs illustrated" sheetId="10" r:id="rId3"/>
    <sheet name="Constants" sheetId="3" r:id="rId4"/>
  </sheets>
  <externalReferences>
    <externalReference r:id="rId5"/>
  </externalReferences>
  <definedNames>
    <definedName name="Assumed_Asset_Life__years">#REF!</definedName>
    <definedName name="MEA_Cost">#REF!</definedName>
    <definedName name="MEA_Cost2">'CMP 375 - figure 7 WG rep'!$AC$7</definedName>
    <definedName name="Overheads">Constants!$C$3</definedName>
    <definedName name="WACC">Constants!$C$2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0" l="1"/>
  <c r="L8" i="10"/>
  <c r="M8" i="10"/>
  <c r="O8" i="10"/>
  <c r="Q8" i="10"/>
  <c r="W8" i="10" s="1"/>
  <c r="S8" i="10"/>
  <c r="T8" i="10"/>
  <c r="U8" i="10"/>
  <c r="I9" i="10"/>
  <c r="L9" i="10"/>
  <c r="M9" i="10"/>
  <c r="Q9" i="10"/>
  <c r="W9" i="10" s="1"/>
  <c r="T9" i="10"/>
  <c r="U9" i="10"/>
  <c r="I10" i="10"/>
  <c r="O10" i="10" s="1"/>
  <c r="L10" i="10"/>
  <c r="M10" i="10"/>
  <c r="Q10" i="10"/>
  <c r="T10" i="10"/>
  <c r="U10" i="10"/>
  <c r="I7" i="10"/>
  <c r="O7" i="10" s="1"/>
  <c r="L7" i="10"/>
  <c r="M7" i="10"/>
  <c r="Q7" i="10"/>
  <c r="S7" i="10"/>
  <c r="T7" i="10"/>
  <c r="U7" i="10"/>
  <c r="R8" i="10" l="1"/>
  <c r="V8" i="10"/>
  <c r="R10" i="10"/>
  <c r="S10" i="10" s="1"/>
  <c r="V10" i="10" s="1"/>
  <c r="X10" i="10" s="1"/>
  <c r="R7" i="10"/>
  <c r="J10" i="10"/>
  <c r="K10" i="10" s="1"/>
  <c r="N10" i="10" s="1"/>
  <c r="P10" i="10" s="1"/>
  <c r="V7" i="10"/>
  <c r="X7" i="10" s="1"/>
  <c r="J9" i="10"/>
  <c r="K9" i="10" s="1"/>
  <c r="N9" i="10" s="1"/>
  <c r="P9" i="10" s="1"/>
  <c r="R9" i="10"/>
  <c r="S9" i="10" s="1"/>
  <c r="V9" i="10" s="1"/>
  <c r="X9" i="10" s="1"/>
  <c r="X8" i="10"/>
  <c r="J7" i="10"/>
  <c r="K7" i="10" s="1"/>
  <c r="N7" i="10" s="1"/>
  <c r="P7" i="10" s="1"/>
  <c r="O9" i="10"/>
  <c r="J8" i="10"/>
  <c r="K8" i="10" s="1"/>
  <c r="N8" i="10" s="1"/>
  <c r="P8" i="10" s="1"/>
  <c r="W7" i="10"/>
  <c r="W10" i="10"/>
  <c r="X12" i="10" l="1"/>
  <c r="W12" i="10"/>
  <c r="X13" i="10" s="1"/>
  <c r="U10" i="6" l="1"/>
  <c r="U11" i="6"/>
  <c r="T12" i="6"/>
  <c r="T11" i="6"/>
  <c r="T10" i="6"/>
  <c r="T9" i="6"/>
  <c r="T8" i="6"/>
  <c r="T7" i="6"/>
  <c r="T6" i="6"/>
  <c r="U12" i="6"/>
  <c r="Q12" i="6"/>
  <c r="W12" i="6" s="1"/>
  <c r="M12" i="6"/>
  <c r="L12" i="6"/>
  <c r="I12" i="6"/>
  <c r="Q11" i="6"/>
  <c r="M11" i="6"/>
  <c r="L11" i="6"/>
  <c r="K11" i="6"/>
  <c r="I11" i="6"/>
  <c r="O11" i="6" s="1"/>
  <c r="Q10" i="6"/>
  <c r="M10" i="6"/>
  <c r="L10" i="6"/>
  <c r="I10" i="6"/>
  <c r="O10" i="6" s="1"/>
  <c r="U9" i="6"/>
  <c r="S9" i="6"/>
  <c r="Q9" i="6"/>
  <c r="M9" i="6"/>
  <c r="L9" i="6"/>
  <c r="I9" i="6"/>
  <c r="O9" i="6" s="1"/>
  <c r="U8" i="6"/>
  <c r="S8" i="6"/>
  <c r="Q8" i="6"/>
  <c r="M8" i="6"/>
  <c r="L8" i="6"/>
  <c r="I8" i="6"/>
  <c r="O8" i="6" s="1"/>
  <c r="U7" i="6"/>
  <c r="S7" i="6"/>
  <c r="Q7" i="6"/>
  <c r="M7" i="6"/>
  <c r="L7" i="6"/>
  <c r="I7" i="6"/>
  <c r="O7" i="6" s="1"/>
  <c r="S6" i="6"/>
  <c r="Q6" i="6"/>
  <c r="U6" i="6"/>
  <c r="M6" i="6"/>
  <c r="L6" i="6"/>
  <c r="I6" i="6"/>
  <c r="R6" i="6" l="1"/>
  <c r="V9" i="6"/>
  <c r="X9" i="6" s="1"/>
  <c r="R8" i="6"/>
  <c r="R10" i="6"/>
  <c r="S10" i="6" s="1"/>
  <c r="V10" i="6" s="1"/>
  <c r="X10" i="6" s="1"/>
  <c r="J6" i="6"/>
  <c r="K6" i="6" s="1"/>
  <c r="N6" i="6" s="1"/>
  <c r="P6" i="6" s="1"/>
  <c r="R9" i="6"/>
  <c r="R7" i="6"/>
  <c r="N11" i="6"/>
  <c r="P11" i="6" s="1"/>
  <c r="R11" i="6"/>
  <c r="S11" i="6" s="1"/>
  <c r="V11" i="6" s="1"/>
  <c r="X11" i="6" s="1"/>
  <c r="J12" i="6"/>
  <c r="K12" i="6" s="1"/>
  <c r="N12" i="6" s="1"/>
  <c r="P12" i="6" s="1"/>
  <c r="W7" i="6"/>
  <c r="J7" i="6"/>
  <c r="K7" i="6" s="1"/>
  <c r="N7" i="6" s="1"/>
  <c r="P7" i="6" s="1"/>
  <c r="J8" i="6"/>
  <c r="K8" i="6" s="1"/>
  <c r="N8" i="6" s="1"/>
  <c r="P8" i="6" s="1"/>
  <c r="J9" i="6"/>
  <c r="K9" i="6" s="1"/>
  <c r="N9" i="6" s="1"/>
  <c r="P9" i="6" s="1"/>
  <c r="W9" i="6"/>
  <c r="J10" i="6"/>
  <c r="K10" i="6" s="1"/>
  <c r="N10" i="6" s="1"/>
  <c r="P10" i="6" s="1"/>
  <c r="O12" i="6"/>
  <c r="R12" i="6"/>
  <c r="S12" i="6" s="1"/>
  <c r="V12" i="6" s="1"/>
  <c r="X12" i="6" s="1"/>
  <c r="W10" i="6"/>
  <c r="W11" i="6"/>
  <c r="W8" i="6"/>
  <c r="J11" i="6"/>
  <c r="V7" i="6"/>
  <c r="X7" i="6" s="1"/>
  <c r="V8" i="6"/>
  <c r="X8" i="6" s="1"/>
  <c r="V6" i="6"/>
  <c r="X6" i="6" s="1"/>
  <c r="O6" i="6"/>
  <c r="W6" i="6"/>
  <c r="W15" i="6" l="1"/>
  <c r="X15" i="6"/>
  <c r="X16" i="6" l="1"/>
</calcChain>
</file>

<file path=xl/sharedStrings.xml><?xml version="1.0" encoding="utf-8"?>
<sst xmlns="http://schemas.openxmlformats.org/spreadsheetml/2006/main" count="84" uniqueCount="51">
  <si>
    <t>This spreadsheet is included as Annex 11 to show how the approach in figure 7 of the workgroup report works</t>
  </si>
  <si>
    <t>and how smoothing works</t>
  </si>
  <si>
    <t>Data is NOT the real TO data used to model tariffs.  These are not the modelled EC's used to calculate modelled tariffs</t>
  </si>
  <si>
    <t>The purpose of this spreadsheet is to allow the user to see how the methods work by exploring the cells/formulae</t>
  </si>
  <si>
    <t>This sheet shows how figure 7 works out for CMP375/315; the pop-out comments on tab "To show figure 7 in WG Report"</t>
  </si>
  <si>
    <t>in row 5, columns B to H, explain how cost entries would differ for a non-circuit element</t>
  </si>
  <si>
    <t xml:space="preserve">        (IGNORE THE ACTUAL EXPANSION COST VALUES in cell X16 of the 2nd tab named "To show figure 7 in WG Report", this spreadsheet is to allow users to trace through </t>
  </si>
  <si>
    <t xml:space="preserve">        the method and see how figure 7 in the report works out.  </t>
  </si>
  <si>
    <t>The final tab "Smoothing illustrated" is standalone and not linked to the data in the other sheets</t>
  </si>
  <si>
    <t>Purpose of this tab/sheet is to illustrate figure 7 approach in WG report (= technique for taking account of extra years life….</t>
  </si>
  <si>
    <t xml:space="preserve"> … and extra capacity when reinforced/reconductored). Omits non-circuit element costs, so is CMP375</t>
  </si>
  <si>
    <t>Cost data in column C is not real, the expansion constant shown should not be regarded as a real illustrative cost</t>
  </si>
  <si>
    <t>Incremental MW</t>
  </si>
  <si>
    <t>Incremental Life</t>
  </si>
  <si>
    <t>Length (km)</t>
  </si>
  <si>
    <t>Capital Cost (GBP)</t>
  </si>
  <si>
    <t>Time from initial build (years)</t>
  </si>
  <si>
    <t>Initial life (years)</t>
  </si>
  <si>
    <t>Life( years)</t>
  </si>
  <si>
    <t>Initial Capacity (MVA)</t>
  </si>
  <si>
    <t>New Capacity (MVA)</t>
  </si>
  <si>
    <t>Incremental MW.years (red area)</t>
  </si>
  <si>
    <t>Allocated cost to Incremental MW</t>
  </si>
  <si>
    <t>Cost (GBP/MWkm)</t>
  </si>
  <si>
    <t>Annualisation Factor</t>
  </si>
  <si>
    <t xml:space="preserve">Overhead </t>
  </si>
  <si>
    <t>Annualised Cost (GBP/MWkm)</t>
  </si>
  <si>
    <t>MW km years</t>
  </si>
  <si>
    <t>MW km years Cost (GBP)</t>
  </si>
  <si>
    <t>Incremental MW.years (blue area)</t>
  </si>
  <si>
    <t>Allocated cost to Incremental life</t>
  </si>
  <si>
    <t>New Build 1</t>
  </si>
  <si>
    <t>New Build 2</t>
  </si>
  <si>
    <t>New Build 3</t>
  </si>
  <si>
    <t>New Build 4</t>
  </si>
  <si>
    <t>Reconductor 1</t>
  </si>
  <si>
    <t>Reconductor 2</t>
  </si>
  <si>
    <t>Reconductor 3</t>
  </si>
  <si>
    <t>Total</t>
  </si>
  <si>
    <t>Raw Expansion Constant</t>
  </si>
  <si>
    <t>Purpose of this tab/sheet is to illustrate the treatment in CMP315 of substations (still re : figure 7 in WG report)</t>
  </si>
  <si>
    <t>Cost data col. C is fake, the expansion constant shown, calculated here just for subs, should not be regarded as a real illustrative cost</t>
  </si>
  <si>
    <t>The way figure 7 works - is same as CMP375, merely, the costs below are some substation costs (specific to 315 only), not circuit costs</t>
  </si>
  <si>
    <t>In reality CMP315 uses both circuit (not shown here) and non-circuit element costs</t>
  </si>
  <si>
    <t>New Build 5</t>
  </si>
  <si>
    <t>New Build 6</t>
  </si>
  <si>
    <t>Refurbish 5</t>
  </si>
  <si>
    <t>Refurbish 6</t>
  </si>
  <si>
    <t>Used in the earlier sheets/tabs : just illustrative data here</t>
  </si>
  <si>
    <t>WACC</t>
  </si>
  <si>
    <t>Overhead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</si>
</sst>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69B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2" borderId="0" xfId="0" applyFill="1"/>
    <xf numFmtId="3" fontId="0" fillId="2" borderId="0" xfId="0" applyNumberFormat="1" applyFill="1"/>
    <xf numFmtId="3" fontId="0" fillId="0" borderId="0" xfId="0" applyNumberFormat="1"/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3" fontId="0" fillId="0" borderId="4" xfId="0" applyNumberFormat="1" applyBorder="1"/>
    <xf numFmtId="164" fontId="0" fillId="0" borderId="0" xfId="0" applyNumberFormat="1"/>
    <xf numFmtId="3" fontId="0" fillId="0" borderId="5" xfId="0" applyNumberFormat="1" applyBorder="1"/>
    <xf numFmtId="2" fontId="0" fillId="0" borderId="0" xfId="0" applyNumberFormat="1"/>
    <xf numFmtId="0" fontId="1" fillId="3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0" fontId="1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3" borderId="2" xfId="0" applyFont="1" applyFill="1" applyBorder="1"/>
    <xf numFmtId="0" fontId="1" fillId="4" borderId="2" xfId="0" applyFont="1" applyFill="1" applyBorder="1"/>
    <xf numFmtId="2" fontId="1" fillId="0" borderId="0" xfId="0" applyNumberFormat="1" applyFont="1"/>
    <xf numFmtId="43" fontId="1" fillId="0" borderId="0" xfId="1" applyFont="1"/>
    <xf numFmtId="165" fontId="0" fillId="0" borderId="0" xfId="0" applyNumberFormat="1"/>
    <xf numFmtId="0" fontId="3" fillId="0" borderId="0" xfId="0" applyFont="1"/>
    <xf numFmtId="0" fontId="4" fillId="0" borderId="0" xfId="0" applyFont="1"/>
    <xf numFmtId="0" fontId="1" fillId="5" borderId="0" xfId="0" applyFont="1" applyFill="1"/>
    <xf numFmtId="3" fontId="0" fillId="5" borderId="0" xfId="0" applyNumberFormat="1" applyFill="1"/>
    <xf numFmtId="2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3" fontId="1" fillId="5" borderId="0" xfId="0" applyNumberFormat="1" applyFont="1" applyFill="1"/>
    <xf numFmtId="4" fontId="0" fillId="5" borderId="0" xfId="0" applyNumberFormat="1" applyFill="1"/>
    <xf numFmtId="0" fontId="5" fillId="0" borderId="0" xfId="0" applyFont="1"/>
    <xf numFmtId="3" fontId="5" fillId="2" borderId="0" xfId="0" applyNumberFormat="1" applyFont="1" applyFill="1"/>
    <xf numFmtId="0" fontId="5" fillId="2" borderId="0" xfId="0" applyFont="1" applyFill="1"/>
    <xf numFmtId="3" fontId="5" fillId="0" borderId="0" xfId="0" applyNumberFormat="1" applyFont="1"/>
    <xf numFmtId="164" fontId="5" fillId="0" borderId="0" xfId="0" applyNumberFormat="1" applyFont="1"/>
    <xf numFmtId="3" fontId="5" fillId="0" borderId="4" xfId="0" applyNumberFormat="1" applyFont="1" applyBorder="1"/>
    <xf numFmtId="2" fontId="5" fillId="0" borderId="0" xfId="0" applyNumberFormat="1" applyFont="1"/>
    <xf numFmtId="3" fontId="5" fillId="0" borderId="5" xfId="0" applyNumberFormat="1" applyFont="1" applyBorder="1"/>
    <xf numFmtId="0" fontId="6" fillId="0" borderId="0" xfId="0" applyFont="1"/>
    <xf numFmtId="0" fontId="1" fillId="5" borderId="0" xfId="0" applyFont="1" applyFill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9B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327025</xdr:colOff>
      <xdr:row>12</xdr:row>
      <xdr:rowOff>177800</xdr:rowOff>
    </xdr:from>
    <xdr:to>
      <xdr:col>16</xdr:col>
      <xdr:colOff>371475</xdr:colOff>
      <xdr:row>35</xdr:row>
      <xdr:rowOff>88900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67AC1D51-258F-4682-ADA5-3FDD624AA286}"/>
            </a:ext>
          </a:extLst>
        </xdr:cNvPr>
        <xdr:cNvGrpSpPr/>
      </xdr:nvGrpSpPr>
      <xdr:grpSpPr>
        <a:xfrm>
          <a:off x="2771775" y="3581400"/>
          <a:ext cx="10267950" cy="4311650"/>
          <a:chOff x="15408275" y="4883150"/>
          <a:chExt cx="8001000" cy="4146550"/>
        </a:xfrm>
      </xdr:grpSpPr>
      <xdr:pic>
        <xdr:nvPicPr>
          <xdr:cNvPr id="2" name="Graphic 1">
            <a:extLst>
              <a:ext uri="{FF2B5EF4-FFF2-40B4-BE49-F238E27FC236}">
                <a16:creationId xmlns:a16="http://schemas.microsoft.com/office/drawing/2014/main" id="{A52E951B-24B7-4F78-9CA4-6722A4BA8E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FE804443-C21F-4453-8883-02EF31FA1EC3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A18AF16A-C4A8-4539-8F20-2FEE2CA049D4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15</xdr:row>
      <xdr:rowOff>0</xdr:rowOff>
    </xdr:from>
    <xdr:to>
      <xdr:col>25</xdr:col>
      <xdr:colOff>577850</xdr:colOff>
      <xdr:row>38</xdr:row>
      <xdr:rowOff>76200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F8C03C41-9F5D-4706-8A42-EE87C326EFB4}"/>
            </a:ext>
          </a:extLst>
        </xdr:cNvPr>
        <xdr:cNvGrpSpPr/>
      </xdr:nvGrpSpPr>
      <xdr:grpSpPr>
        <a:xfrm>
          <a:off x="8788400" y="3505200"/>
          <a:ext cx="10280650" cy="4311650"/>
          <a:chOff x="15408275" y="4883150"/>
          <a:chExt cx="8001000" cy="4146550"/>
        </a:xfrm>
      </xdr:grpSpPr>
      <xdr:pic>
        <xdr:nvPicPr>
          <xdr:cNvPr id="7" name="Graphic 6">
            <a:extLst>
              <a:ext uri="{FF2B5EF4-FFF2-40B4-BE49-F238E27FC236}">
                <a16:creationId xmlns:a16="http://schemas.microsoft.com/office/drawing/2014/main" id="{2E9B2DDE-2C4C-8CF4-0D10-FCC3D2C23F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27AFEBC0-9A1A-E98D-647D-24B5BE89F2FD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16EA9553-F634-DE25-E220-16D4275B6451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P-INT-UK-CodeAdministrator/CUSC/3.%20CUSC%20Modifications/CMP315%20&amp;%20375/8.%20Workgroup%20Report/Annex%2013%20-%20smoothing%20and%20weighting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hting"/>
      <sheetName val="Smoothing Analysis"/>
      <sheetName val="Smoothing illustrated"/>
    </sheetNames>
    <sheetDataSet>
      <sheetData sheetId="0" refreshError="1"/>
      <sheetData sheetId="1" refreshError="1"/>
      <sheetData sheetId="2">
        <row r="9">
          <cell r="B9" t="str">
            <v>How much of baseline expansion constant is in the mix</v>
          </cell>
          <cell r="C9" t="str">
            <v>How much of newly calculated expansion constants since year 1 are in the mix</v>
          </cell>
        </row>
        <row r="10">
          <cell r="A10">
            <v>0</v>
          </cell>
          <cell r="B10">
            <v>1</v>
          </cell>
          <cell r="C10">
            <v>0</v>
          </cell>
        </row>
        <row r="11">
          <cell r="A11">
            <v>1</v>
          </cell>
          <cell r="B11">
            <v>0.87</v>
          </cell>
          <cell r="C11">
            <v>0.13</v>
          </cell>
        </row>
        <row r="12">
          <cell r="A12">
            <v>2</v>
          </cell>
          <cell r="B12">
            <v>0.75690000000000002</v>
          </cell>
          <cell r="C12">
            <v>0.24309999999999998</v>
          </cell>
        </row>
        <row r="13">
          <cell r="A13">
            <v>3</v>
          </cell>
          <cell r="B13">
            <v>0.65850300000000006</v>
          </cell>
          <cell r="C13">
            <v>0.34149699999999994</v>
          </cell>
        </row>
        <row r="14">
          <cell r="A14">
            <v>4</v>
          </cell>
          <cell r="B14">
            <v>0.57289761000000006</v>
          </cell>
          <cell r="C14">
            <v>0.42710238999999994</v>
          </cell>
        </row>
        <row r="15">
          <cell r="A15">
            <v>5</v>
          </cell>
          <cell r="B15">
            <v>0.49842092070000005</v>
          </cell>
          <cell r="C15">
            <v>0.5015790792999999</v>
          </cell>
        </row>
        <row r="16">
          <cell r="A16">
            <v>6</v>
          </cell>
          <cell r="B16">
            <v>0.43362620100900001</v>
          </cell>
          <cell r="C16">
            <v>0.56637379899100004</v>
          </cell>
        </row>
        <row r="17">
          <cell r="A17">
            <v>7</v>
          </cell>
          <cell r="B17">
            <v>0.37725479487783004</v>
          </cell>
          <cell r="C17">
            <v>0.62274520512217002</v>
          </cell>
        </row>
        <row r="18">
          <cell r="A18">
            <v>8</v>
          </cell>
          <cell r="B18">
            <v>0.32821167154371211</v>
          </cell>
          <cell r="C18">
            <v>0.67178832845628789</v>
          </cell>
        </row>
        <row r="19">
          <cell r="A19">
            <v>9</v>
          </cell>
          <cell r="B19">
            <v>0.28554415424302954</v>
          </cell>
          <cell r="C19">
            <v>0.71445584575697052</v>
          </cell>
        </row>
        <row r="20">
          <cell r="A20">
            <v>10</v>
          </cell>
          <cell r="B20">
            <v>0.24842341419143568</v>
          </cell>
          <cell r="C20">
            <v>0.75157658580856435</v>
          </cell>
        </row>
        <row r="21">
          <cell r="A21">
            <v>11</v>
          </cell>
          <cell r="B21">
            <v>0.21612837034654905</v>
          </cell>
          <cell r="C21">
            <v>0.78387162965345092</v>
          </cell>
        </row>
        <row r="22">
          <cell r="A22">
            <v>12</v>
          </cell>
          <cell r="B22">
            <v>0.18803168220149769</v>
          </cell>
          <cell r="C22">
            <v>0.81196831779850231</v>
          </cell>
        </row>
        <row r="23">
          <cell r="A23">
            <v>13</v>
          </cell>
          <cell r="B23">
            <v>0.16358756351530299</v>
          </cell>
          <cell r="C23">
            <v>0.83641243648469699</v>
          </cell>
        </row>
        <row r="24">
          <cell r="A24">
            <v>14</v>
          </cell>
          <cell r="B24">
            <v>0.14232118025831358</v>
          </cell>
          <cell r="C24">
            <v>0.85767881974168647</v>
          </cell>
        </row>
        <row r="25">
          <cell r="A25">
            <v>15</v>
          </cell>
          <cell r="B25">
            <v>0.12381942682473282</v>
          </cell>
          <cell r="C25">
            <v>0.87618057317526721</v>
          </cell>
        </row>
        <row r="26">
          <cell r="A26">
            <v>16</v>
          </cell>
          <cell r="B26">
            <v>0.10772290133751755</v>
          </cell>
          <cell r="C26">
            <v>0.89227709866248239</v>
          </cell>
        </row>
        <row r="27">
          <cell r="A27">
            <v>17</v>
          </cell>
          <cell r="B27">
            <v>9.3718924163640263E-2</v>
          </cell>
          <cell r="C27">
            <v>0.90628107583635975</v>
          </cell>
        </row>
        <row r="28">
          <cell r="A28">
            <v>18</v>
          </cell>
          <cell r="B28">
            <v>8.1535464022367027E-2</v>
          </cell>
          <cell r="C28">
            <v>0.918464535977633</v>
          </cell>
        </row>
        <row r="29">
          <cell r="A29">
            <v>19</v>
          </cell>
          <cell r="B29">
            <v>7.0935853699459317E-2</v>
          </cell>
          <cell r="C29">
            <v>0.92906414630054068</v>
          </cell>
        </row>
        <row r="30">
          <cell r="A30">
            <v>20</v>
          </cell>
          <cell r="B30">
            <v>6.1714192718529605E-2</v>
          </cell>
          <cell r="C30">
            <v>0.93828580728147037</v>
          </cell>
        </row>
        <row r="31">
          <cell r="A31">
            <v>21</v>
          </cell>
          <cell r="B31">
            <v>5.3691347665120757E-2</v>
          </cell>
          <cell r="C31">
            <v>0.94630865233487926</v>
          </cell>
        </row>
        <row r="32">
          <cell r="A32">
            <v>22</v>
          </cell>
          <cell r="B32">
            <v>4.6711472468655056E-2</v>
          </cell>
          <cell r="C32">
            <v>0.95328852753134496</v>
          </cell>
        </row>
        <row r="33">
          <cell r="A33">
            <v>23</v>
          </cell>
          <cell r="B33">
            <v>4.0638981047729901E-2</v>
          </cell>
          <cell r="C33">
            <v>0.95936101895227011</v>
          </cell>
        </row>
        <row r="34">
          <cell r="A34">
            <v>24</v>
          </cell>
          <cell r="B34">
            <v>3.5355913511525013E-2</v>
          </cell>
          <cell r="C34">
            <v>0.96464408648847499</v>
          </cell>
        </row>
        <row r="35">
          <cell r="A35">
            <v>25</v>
          </cell>
          <cell r="B35">
            <v>3.0759644755026759E-2</v>
          </cell>
          <cell r="C35">
            <v>0.96924035524497321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EECE8-E1F3-4F95-BB19-5B99F284BF56}">
  <dimension ref="B2:B14"/>
  <sheetViews>
    <sheetView workbookViewId="0">
      <selection activeCell="B9" sqref="B9"/>
    </sheetView>
  </sheetViews>
  <sheetFormatPr defaultRowHeight="14.5" x14ac:dyDescent="0.35"/>
  <sheetData>
    <row r="2" spans="2:2" x14ac:dyDescent="0.35">
      <c r="B2" t="s">
        <v>0</v>
      </c>
    </row>
    <row r="3" spans="2:2" x14ac:dyDescent="0.35">
      <c r="B3" t="s">
        <v>1</v>
      </c>
    </row>
    <row r="4" spans="2:2" x14ac:dyDescent="0.35">
      <c r="B4" s="23" t="s">
        <v>2</v>
      </c>
    </row>
    <row r="5" spans="2:2" x14ac:dyDescent="0.35">
      <c r="B5" s="23"/>
    </row>
    <row r="6" spans="2:2" x14ac:dyDescent="0.35">
      <c r="B6" s="23" t="s">
        <v>3</v>
      </c>
    </row>
    <row r="7" spans="2:2" x14ac:dyDescent="0.35">
      <c r="B7" s="23" t="s">
        <v>4</v>
      </c>
    </row>
    <row r="8" spans="2:2" x14ac:dyDescent="0.35">
      <c r="B8" s="23" t="s">
        <v>5</v>
      </c>
    </row>
    <row r="10" spans="2:2" x14ac:dyDescent="0.35">
      <c r="B10" s="24" t="s">
        <v>6</v>
      </c>
    </row>
    <row r="11" spans="2:2" x14ac:dyDescent="0.35">
      <c r="B11" s="24" t="s">
        <v>7</v>
      </c>
    </row>
    <row r="12" spans="2:2" x14ac:dyDescent="0.35">
      <c r="B12" s="24"/>
    </row>
    <row r="13" spans="2:2" x14ac:dyDescent="0.35">
      <c r="B13" s="24"/>
    </row>
    <row r="14" spans="2:2" x14ac:dyDescent="0.35">
      <c r="B14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5E9F-FAAA-4EAF-81AD-07FEFDF26765}">
  <dimension ref="A1:AD57"/>
  <sheetViews>
    <sheetView workbookViewId="0">
      <selection activeCell="A3" sqref="A3"/>
    </sheetView>
  </sheetViews>
  <sheetFormatPr defaultRowHeight="14.5" x14ac:dyDescent="0.35"/>
  <cols>
    <col min="1" max="1" width="12.81640625" bestFit="1" customWidth="1"/>
    <col min="2" max="2" width="22.1796875" bestFit="1" customWidth="1"/>
    <col min="3" max="3" width="10.1796875" bestFit="1" customWidth="1"/>
    <col min="10" max="10" width="11.54296875" customWidth="1"/>
    <col min="12" max="12" width="12.453125" customWidth="1"/>
    <col min="13" max="13" width="9.453125" customWidth="1"/>
    <col min="15" max="15" width="21.7265625" customWidth="1"/>
    <col min="16" max="16" width="11.1796875" bestFit="1" customWidth="1"/>
    <col min="17" max="17" width="15.54296875" bestFit="1" customWidth="1"/>
    <col min="18" max="18" width="15.54296875" customWidth="1"/>
    <col min="19" max="19" width="15" customWidth="1"/>
    <col min="20" max="20" width="8.453125" bestFit="1" customWidth="1"/>
    <col min="21" max="21" width="9.7265625" customWidth="1"/>
    <col min="22" max="22" width="17.7265625" bestFit="1" customWidth="1"/>
    <col min="23" max="23" width="10.1796875" bestFit="1" customWidth="1"/>
    <col min="24" max="24" width="11.81640625" bestFit="1" customWidth="1"/>
    <col min="29" max="29" width="11.81640625" bestFit="1" customWidth="1"/>
  </cols>
  <sheetData>
    <row r="1" spans="1:30" ht="21" x14ac:dyDescent="0.5">
      <c r="A1" s="40" t="s">
        <v>9</v>
      </c>
    </row>
    <row r="2" spans="1:30" ht="26.15" customHeight="1" x14ac:dyDescent="0.5">
      <c r="A2" s="40" t="s">
        <v>10</v>
      </c>
    </row>
    <row r="3" spans="1:30" ht="26.15" customHeight="1" x14ac:dyDescent="0.5">
      <c r="A3" s="40" t="s">
        <v>11</v>
      </c>
    </row>
    <row r="4" spans="1:30" ht="21" x14ac:dyDescent="0.5">
      <c r="A4" s="40"/>
      <c r="I4" s="12" t="s">
        <v>12</v>
      </c>
      <c r="J4" s="18"/>
      <c r="K4" s="13"/>
      <c r="L4" s="13"/>
      <c r="M4" s="13"/>
      <c r="N4" s="13"/>
      <c r="O4" s="13"/>
      <c r="P4" s="14"/>
      <c r="Q4" s="15" t="s">
        <v>13</v>
      </c>
      <c r="R4" s="19"/>
      <c r="S4" s="16"/>
      <c r="T4" s="16"/>
      <c r="U4" s="16"/>
      <c r="V4" s="16"/>
      <c r="W4" s="16"/>
      <c r="X4" s="17"/>
      <c r="AB4" s="1"/>
    </row>
    <row r="5" spans="1:30" ht="72.5" x14ac:dyDescent="0.35">
      <c r="A5" s="5"/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6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5" t="s">
        <v>26</v>
      </c>
      <c r="O5" s="5" t="s">
        <v>27</v>
      </c>
      <c r="P5" s="7" t="s">
        <v>28</v>
      </c>
      <c r="Q5" s="6" t="s">
        <v>29</v>
      </c>
      <c r="R5" s="5" t="s">
        <v>30</v>
      </c>
      <c r="S5" s="5" t="s">
        <v>23</v>
      </c>
      <c r="T5" s="5" t="s">
        <v>24</v>
      </c>
      <c r="U5" s="5" t="s">
        <v>25</v>
      </c>
      <c r="V5" s="5" t="s">
        <v>26</v>
      </c>
      <c r="W5" s="5" t="s">
        <v>27</v>
      </c>
      <c r="X5" s="7" t="s">
        <v>28</v>
      </c>
      <c r="Y5" s="5"/>
      <c r="Z5" s="5"/>
      <c r="AA5" s="5"/>
      <c r="AB5" s="5"/>
      <c r="AC5" s="5"/>
      <c r="AD5" s="5"/>
    </row>
    <row r="6" spans="1:30" x14ac:dyDescent="0.35">
      <c r="A6" t="s">
        <v>31</v>
      </c>
      <c r="B6" s="3">
        <v>10</v>
      </c>
      <c r="C6" s="3">
        <v>5000000</v>
      </c>
      <c r="D6" s="2">
        <v>0</v>
      </c>
      <c r="E6" s="2">
        <v>0</v>
      </c>
      <c r="F6" s="3">
        <v>50</v>
      </c>
      <c r="G6" s="3">
        <v>0</v>
      </c>
      <c r="H6" s="3">
        <v>2000</v>
      </c>
      <c r="I6" s="4">
        <f>+(H6-G6)*(F6-D6)</f>
        <v>100000</v>
      </c>
      <c r="J6" s="4">
        <f>+I6*$C6/($I6+$Q6)</f>
        <v>5000000</v>
      </c>
      <c r="K6" s="4">
        <f>IF((H6-G6)&gt;0,J6/((H6-G6)*B6),0)</f>
        <v>250</v>
      </c>
      <c r="L6" s="9">
        <f t="shared" ref="L6:L12" si="0">WACC/(1-(1+WACC)^-(F6-D6))</f>
        <v>4.6550200449541529E-2</v>
      </c>
      <c r="M6" s="9">
        <f t="shared" ref="M6:M12" si="1">Overheads*(F6-D6)/50</f>
        <v>1.7999999999999999E-2</v>
      </c>
      <c r="N6" s="4">
        <f>+K6*(L6+M6)</f>
        <v>16.137550112385384</v>
      </c>
      <c r="O6" s="4">
        <f>+B6*I6</f>
        <v>1000000</v>
      </c>
      <c r="P6" s="4">
        <f>+B6*I6*N6</f>
        <v>16137550.112385383</v>
      </c>
      <c r="Q6" s="8">
        <f>+(F6-E6)*G6</f>
        <v>0</v>
      </c>
      <c r="R6" s="4">
        <f>+Q6*$C6/($I6+$Q6)</f>
        <v>0</v>
      </c>
      <c r="S6" s="4">
        <f>IF(G6&gt;0,+R6/(G6*B6),0)</f>
        <v>0</v>
      </c>
      <c r="T6" s="9">
        <f t="shared" ref="T6:T12" si="2">IF((F6-E6)&gt;0,WACC/(1-(1+WACC)^-(F6-E6)),0)</f>
        <v>4.6550200449541529E-2</v>
      </c>
      <c r="U6" s="9">
        <f t="shared" ref="U6:U12" si="3">Overheads*(F6-E6)/50</f>
        <v>1.7999999999999999E-2</v>
      </c>
      <c r="V6" s="11">
        <f>S6*(T6+U6)</f>
        <v>0</v>
      </c>
      <c r="W6" s="4">
        <f>$B6*Q6</f>
        <v>0</v>
      </c>
      <c r="X6" s="10">
        <f>$B6*Q6*V6</f>
        <v>0</v>
      </c>
      <c r="Z6" s="4"/>
    </row>
    <row r="7" spans="1:30" x14ac:dyDescent="0.35">
      <c r="A7" t="s">
        <v>32</v>
      </c>
      <c r="B7" s="3">
        <v>20</v>
      </c>
      <c r="C7" s="3">
        <v>11000000</v>
      </c>
      <c r="D7" s="2">
        <v>0</v>
      </c>
      <c r="E7" s="2">
        <v>0</v>
      </c>
      <c r="F7" s="3">
        <v>50</v>
      </c>
      <c r="G7" s="3">
        <v>0</v>
      </c>
      <c r="H7" s="3">
        <v>2500</v>
      </c>
      <c r="I7" s="4">
        <f t="shared" ref="I7:I12" si="4">+(H7-G7)*(F7-D7)</f>
        <v>125000</v>
      </c>
      <c r="J7" s="4">
        <f t="shared" ref="J7:J12" si="5">+I7*$C7/($I7+$Q7)</f>
        <v>11000000</v>
      </c>
      <c r="K7" s="4">
        <f t="shared" ref="K7:K12" si="6">IF((H7-G7)&gt;0,J7/((H7-G7)*B7),0)</f>
        <v>220</v>
      </c>
      <c r="L7" s="9">
        <f t="shared" si="0"/>
        <v>4.6550200449541529E-2</v>
      </c>
      <c r="M7" s="9">
        <f t="shared" si="1"/>
        <v>1.7999999999999999E-2</v>
      </c>
      <c r="N7" s="4">
        <f t="shared" ref="N7:N12" si="7">+K7*(L7+M7)</f>
        <v>14.201044098899137</v>
      </c>
      <c r="O7" s="4">
        <f t="shared" ref="O7:O12" si="8">+B7*I7</f>
        <v>2500000</v>
      </c>
      <c r="P7" s="4">
        <f t="shared" ref="P7:P12" si="9">+B7*I7*N7</f>
        <v>35502610.247247845</v>
      </c>
      <c r="Q7" s="8">
        <f t="shared" ref="Q7:Q12" si="10">+(F7-E7)*G7</f>
        <v>0</v>
      </c>
      <c r="R7" s="4">
        <f t="shared" ref="R7:R12" si="11">+Q7*$C7/($I7+$Q7)</f>
        <v>0</v>
      </c>
      <c r="S7" s="4">
        <f t="shared" ref="S7:S12" si="12">IF(G7&gt;0,+R7/(G7*B7),0)</f>
        <v>0</v>
      </c>
      <c r="T7" s="9">
        <f t="shared" si="2"/>
        <v>4.6550200449541529E-2</v>
      </c>
      <c r="U7" s="9">
        <f t="shared" si="3"/>
        <v>1.7999999999999999E-2</v>
      </c>
      <c r="V7" s="11">
        <f t="shared" ref="V7:V11" si="13">S7*(T7+U7)</f>
        <v>0</v>
      </c>
      <c r="W7" s="4">
        <f t="shared" ref="W7:W12" si="14">$B7*Q7</f>
        <v>0</v>
      </c>
      <c r="X7" s="10">
        <f t="shared" ref="X7:X12" si="15">$B7*Q7*V7</f>
        <v>0</v>
      </c>
      <c r="Z7" s="4"/>
    </row>
    <row r="8" spans="1:30" x14ac:dyDescent="0.35">
      <c r="A8" t="s">
        <v>33</v>
      </c>
      <c r="B8" s="3">
        <v>15</v>
      </c>
      <c r="C8" s="3">
        <v>8625000</v>
      </c>
      <c r="D8" s="2">
        <v>0</v>
      </c>
      <c r="E8" s="2">
        <v>0</v>
      </c>
      <c r="F8" s="3">
        <v>50</v>
      </c>
      <c r="G8" s="3">
        <v>0</v>
      </c>
      <c r="H8" s="3">
        <v>2700</v>
      </c>
      <c r="I8" s="4">
        <f t="shared" si="4"/>
        <v>135000</v>
      </c>
      <c r="J8" s="4">
        <f t="shared" si="5"/>
        <v>8625000</v>
      </c>
      <c r="K8" s="4">
        <f t="shared" si="6"/>
        <v>212.96296296296296</v>
      </c>
      <c r="L8" s="9">
        <f t="shared" si="0"/>
        <v>4.6550200449541529E-2</v>
      </c>
      <c r="M8" s="9">
        <f t="shared" si="1"/>
        <v>1.7999999999999999E-2</v>
      </c>
      <c r="N8" s="4">
        <f t="shared" si="7"/>
        <v>13.746801947587548</v>
      </c>
      <c r="O8" s="4">
        <f t="shared" si="8"/>
        <v>2025000</v>
      </c>
      <c r="P8" s="4">
        <f t="shared" si="9"/>
        <v>27837273.943864785</v>
      </c>
      <c r="Q8" s="8">
        <f t="shared" si="10"/>
        <v>0</v>
      </c>
      <c r="R8" s="4">
        <f t="shared" si="11"/>
        <v>0</v>
      </c>
      <c r="S8" s="4">
        <f t="shared" si="12"/>
        <v>0</v>
      </c>
      <c r="T8" s="9">
        <f t="shared" si="2"/>
        <v>4.6550200449541529E-2</v>
      </c>
      <c r="U8" s="9">
        <f t="shared" si="3"/>
        <v>1.7999999999999999E-2</v>
      </c>
      <c r="V8" s="11">
        <f t="shared" si="13"/>
        <v>0</v>
      </c>
      <c r="W8" s="4">
        <f t="shared" si="14"/>
        <v>0</v>
      </c>
      <c r="X8" s="10">
        <f t="shared" si="15"/>
        <v>0</v>
      </c>
      <c r="Z8" s="4"/>
    </row>
    <row r="9" spans="1:30" x14ac:dyDescent="0.35">
      <c r="A9" t="s">
        <v>34</v>
      </c>
      <c r="B9" s="3">
        <v>75</v>
      </c>
      <c r="C9" s="3">
        <v>52500000</v>
      </c>
      <c r="D9" s="2">
        <v>0</v>
      </c>
      <c r="E9" s="2">
        <v>0</v>
      </c>
      <c r="F9" s="3">
        <v>50</v>
      </c>
      <c r="G9" s="3">
        <v>0</v>
      </c>
      <c r="H9" s="3">
        <v>3120</v>
      </c>
      <c r="I9" s="4">
        <f t="shared" si="4"/>
        <v>156000</v>
      </c>
      <c r="J9" s="4">
        <f t="shared" si="5"/>
        <v>52500000</v>
      </c>
      <c r="K9" s="4">
        <f t="shared" si="6"/>
        <v>224.35897435897436</v>
      </c>
      <c r="L9" s="9">
        <f t="shared" si="0"/>
        <v>4.6550200449541529E-2</v>
      </c>
      <c r="M9" s="9">
        <f t="shared" si="1"/>
        <v>1.7999999999999999E-2</v>
      </c>
      <c r="N9" s="4">
        <f t="shared" si="7"/>
        <v>14.482416767525343</v>
      </c>
      <c r="O9" s="4">
        <f t="shared" si="8"/>
        <v>11700000</v>
      </c>
      <c r="P9" s="4">
        <f t="shared" si="9"/>
        <v>169444276.18004653</v>
      </c>
      <c r="Q9" s="8">
        <f t="shared" si="10"/>
        <v>0</v>
      </c>
      <c r="R9" s="4">
        <f t="shared" si="11"/>
        <v>0</v>
      </c>
      <c r="S9" s="4">
        <f t="shared" si="12"/>
        <v>0</v>
      </c>
      <c r="T9" s="9">
        <f t="shared" si="2"/>
        <v>4.6550200449541529E-2</v>
      </c>
      <c r="U9" s="9">
        <f t="shared" si="3"/>
        <v>1.7999999999999999E-2</v>
      </c>
      <c r="V9" s="11">
        <f t="shared" si="13"/>
        <v>0</v>
      </c>
      <c r="W9" s="4">
        <f t="shared" si="14"/>
        <v>0</v>
      </c>
      <c r="X9" s="10">
        <f t="shared" si="15"/>
        <v>0</v>
      </c>
      <c r="Z9" s="4"/>
    </row>
    <row r="10" spans="1:30" x14ac:dyDescent="0.35">
      <c r="A10" t="s">
        <v>35</v>
      </c>
      <c r="B10" s="2">
        <v>75</v>
      </c>
      <c r="C10" s="3">
        <v>18750000</v>
      </c>
      <c r="D10" s="2">
        <v>30</v>
      </c>
      <c r="E10" s="2">
        <v>50</v>
      </c>
      <c r="F10" s="2">
        <v>50</v>
      </c>
      <c r="G10" s="3">
        <v>2000</v>
      </c>
      <c r="H10" s="3">
        <v>2500</v>
      </c>
      <c r="I10" s="4">
        <f t="shared" si="4"/>
        <v>10000</v>
      </c>
      <c r="J10" s="4">
        <f t="shared" si="5"/>
        <v>18750000</v>
      </c>
      <c r="K10" s="4">
        <f t="shared" si="6"/>
        <v>500</v>
      </c>
      <c r="L10" s="9">
        <f t="shared" si="0"/>
        <v>7.3581750328628834E-2</v>
      </c>
      <c r="M10" s="9">
        <f t="shared" si="1"/>
        <v>7.1999999999999998E-3</v>
      </c>
      <c r="N10" s="4">
        <f t="shared" si="7"/>
        <v>40.390875164314416</v>
      </c>
      <c r="O10" s="4">
        <f t="shared" si="8"/>
        <v>750000</v>
      </c>
      <c r="P10" s="4">
        <f t="shared" si="9"/>
        <v>30293156.373235811</v>
      </c>
      <c r="Q10" s="8">
        <f t="shared" si="10"/>
        <v>0</v>
      </c>
      <c r="R10" s="4">
        <f t="shared" si="11"/>
        <v>0</v>
      </c>
      <c r="S10" s="4">
        <f t="shared" si="12"/>
        <v>0</v>
      </c>
      <c r="T10" s="9">
        <f t="shared" si="2"/>
        <v>0</v>
      </c>
      <c r="U10" s="9">
        <f t="shared" si="3"/>
        <v>0</v>
      </c>
      <c r="V10" s="11">
        <f t="shared" si="13"/>
        <v>0</v>
      </c>
      <c r="W10" s="4">
        <f t="shared" si="14"/>
        <v>0</v>
      </c>
      <c r="X10" s="10">
        <f t="shared" si="15"/>
        <v>0</v>
      </c>
      <c r="Z10" s="4"/>
    </row>
    <row r="11" spans="1:30" x14ac:dyDescent="0.35">
      <c r="A11" t="s">
        <v>36</v>
      </c>
      <c r="B11" s="2">
        <v>50</v>
      </c>
      <c r="C11" s="3">
        <v>7500000</v>
      </c>
      <c r="D11" s="2">
        <v>40</v>
      </c>
      <c r="E11" s="2">
        <v>50</v>
      </c>
      <c r="F11" s="2">
        <v>70</v>
      </c>
      <c r="G11" s="3">
        <v>1750</v>
      </c>
      <c r="H11" s="3">
        <v>1750</v>
      </c>
      <c r="I11" s="4">
        <f t="shared" si="4"/>
        <v>0</v>
      </c>
      <c r="J11" s="4">
        <f t="shared" si="5"/>
        <v>0</v>
      </c>
      <c r="K11" s="4">
        <f t="shared" si="6"/>
        <v>0</v>
      </c>
      <c r="L11" s="9">
        <f t="shared" si="0"/>
        <v>5.78300991336613E-2</v>
      </c>
      <c r="M11" s="9">
        <f t="shared" si="1"/>
        <v>1.0799999999999999E-2</v>
      </c>
      <c r="N11" s="4">
        <f t="shared" si="7"/>
        <v>0</v>
      </c>
      <c r="O11" s="4">
        <f t="shared" si="8"/>
        <v>0</v>
      </c>
      <c r="P11" s="4">
        <f t="shared" si="9"/>
        <v>0</v>
      </c>
      <c r="Q11" s="8">
        <f t="shared" si="10"/>
        <v>35000</v>
      </c>
      <c r="R11" s="4">
        <f t="shared" si="11"/>
        <v>7500000</v>
      </c>
      <c r="S11" s="4">
        <f t="shared" si="12"/>
        <v>85.714285714285708</v>
      </c>
      <c r="T11" s="9">
        <f t="shared" si="2"/>
        <v>7.3581750328628834E-2</v>
      </c>
      <c r="U11" s="9">
        <f t="shared" si="3"/>
        <v>7.1999999999999998E-3</v>
      </c>
      <c r="V11" s="11">
        <f t="shared" si="13"/>
        <v>6.9241500281681851</v>
      </c>
      <c r="W11" s="4">
        <f t="shared" si="14"/>
        <v>1750000</v>
      </c>
      <c r="X11" s="10">
        <f>$B11*Q11*V11</f>
        <v>12117262.549294325</v>
      </c>
      <c r="Z11" s="4"/>
    </row>
    <row r="12" spans="1:30" x14ac:dyDescent="0.35">
      <c r="A12" t="s">
        <v>37</v>
      </c>
      <c r="B12" s="2">
        <v>350</v>
      </c>
      <c r="C12" s="3">
        <v>61250000</v>
      </c>
      <c r="D12" s="2">
        <v>45</v>
      </c>
      <c r="E12" s="2">
        <v>50</v>
      </c>
      <c r="F12" s="2">
        <v>70</v>
      </c>
      <c r="G12" s="3">
        <v>2750</v>
      </c>
      <c r="H12" s="3">
        <v>3150</v>
      </c>
      <c r="I12" s="4">
        <f t="shared" si="4"/>
        <v>10000</v>
      </c>
      <c r="J12" s="4">
        <f t="shared" si="5"/>
        <v>9423076.9230769239</v>
      </c>
      <c r="K12" s="4">
        <f t="shared" si="6"/>
        <v>67.307692307692321</v>
      </c>
      <c r="L12" s="9">
        <f t="shared" si="0"/>
        <v>6.401196278645456E-2</v>
      </c>
      <c r="M12" s="9">
        <f t="shared" si="1"/>
        <v>8.9999999999999993E-3</v>
      </c>
      <c r="N12" s="4">
        <f t="shared" si="7"/>
        <v>4.9142667260113653</v>
      </c>
      <c r="O12" s="4">
        <f t="shared" si="8"/>
        <v>3500000</v>
      </c>
      <c r="P12" s="4">
        <f t="shared" si="9"/>
        <v>17199933.54103978</v>
      </c>
      <c r="Q12" s="8">
        <f t="shared" si="10"/>
        <v>55000</v>
      </c>
      <c r="R12" s="4">
        <f t="shared" si="11"/>
        <v>51826923.07692308</v>
      </c>
      <c r="S12" s="4">
        <f t="shared" si="12"/>
        <v>53.846153846153847</v>
      </c>
      <c r="T12" s="9">
        <f t="shared" si="2"/>
        <v>7.3581750328628834E-2</v>
      </c>
      <c r="U12" s="9">
        <f t="shared" si="3"/>
        <v>7.1999999999999998E-3</v>
      </c>
      <c r="V12" s="11">
        <f>S12*(T12+U12)</f>
        <v>4.3497865561569373</v>
      </c>
      <c r="W12" s="4">
        <f t="shared" si="14"/>
        <v>19250000</v>
      </c>
      <c r="X12" s="10">
        <f t="shared" si="15"/>
        <v>83733391.206021041</v>
      </c>
      <c r="Z12" s="4"/>
    </row>
    <row r="15" spans="1:30" x14ac:dyDescent="0.35">
      <c r="V15" s="4" t="s">
        <v>38</v>
      </c>
      <c r="W15" s="4">
        <f>SUM(W6:W12,O6:O12)</f>
        <v>42475000</v>
      </c>
      <c r="X15" s="4">
        <f>SUM(X6:X12,P6:P12)</f>
        <v>392265454.15313548</v>
      </c>
    </row>
    <row r="16" spans="1:30" x14ac:dyDescent="0.35">
      <c r="B16" s="1"/>
      <c r="C16" s="20"/>
      <c r="V16" s="1" t="s">
        <v>39</v>
      </c>
      <c r="X16" s="21">
        <f>X15/W15</f>
        <v>9.2352078670543953</v>
      </c>
    </row>
    <row r="17" spans="1:16" x14ac:dyDescent="0.35">
      <c r="A17" s="25"/>
      <c r="B17" s="26"/>
      <c r="C17" s="27"/>
      <c r="D17" s="28"/>
      <c r="E17" s="28"/>
    </row>
    <row r="18" spans="1:16" x14ac:dyDescent="0.35">
      <c r="A18" s="28"/>
      <c r="B18" s="26"/>
      <c r="C18" s="27"/>
      <c r="D18" s="28"/>
      <c r="E18" s="28"/>
    </row>
    <row r="19" spans="1:16" ht="27.65" customHeight="1" x14ac:dyDescent="0.35">
      <c r="A19" s="41"/>
      <c r="B19" s="41"/>
      <c r="C19" s="41"/>
      <c r="D19" s="41"/>
      <c r="E19" s="29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35">
      <c r="A20" s="28"/>
      <c r="B20" s="26"/>
      <c r="C20" s="26"/>
      <c r="D20" s="28"/>
      <c r="E20" s="28"/>
      <c r="F20" s="4"/>
      <c r="G20" s="4"/>
      <c r="H20" s="4"/>
      <c r="I20" s="4"/>
      <c r="J20" s="4"/>
      <c r="K20" s="22"/>
      <c r="L20" s="9"/>
      <c r="M20" s="9"/>
      <c r="N20" s="11"/>
      <c r="O20" s="4"/>
      <c r="P20" s="4"/>
    </row>
    <row r="21" spans="1:16" x14ac:dyDescent="0.35">
      <c r="A21" s="28"/>
      <c r="B21" s="30"/>
      <c r="C21" s="26"/>
      <c r="D21" s="28"/>
      <c r="E21" s="28"/>
      <c r="F21" s="4"/>
      <c r="G21" s="4"/>
      <c r="H21" s="4"/>
      <c r="I21" s="4"/>
      <c r="J21" s="4"/>
      <c r="K21" s="22"/>
      <c r="L21" s="9"/>
      <c r="M21" s="9"/>
      <c r="N21" s="11"/>
      <c r="O21" s="4"/>
      <c r="P21" s="4"/>
    </row>
    <row r="22" spans="1:16" x14ac:dyDescent="0.35">
      <c r="A22" s="28"/>
      <c r="B22" s="26"/>
      <c r="C22" s="31"/>
      <c r="D22" s="28"/>
      <c r="E22" s="28"/>
      <c r="F22" s="4"/>
      <c r="G22" s="4"/>
      <c r="H22" s="4"/>
      <c r="I22" s="4"/>
      <c r="J22" s="4"/>
      <c r="K22" s="22"/>
      <c r="L22" s="9"/>
      <c r="M22" s="9"/>
      <c r="N22" s="11"/>
      <c r="O22" s="4"/>
      <c r="P22" s="4"/>
    </row>
    <row r="23" spans="1:16" x14ac:dyDescent="0.35">
      <c r="A23" s="28"/>
      <c r="B23" s="26"/>
      <c r="C23" s="31"/>
      <c r="D23" s="28"/>
      <c r="E23" s="28"/>
      <c r="F23" s="4"/>
      <c r="G23" s="4"/>
      <c r="H23" s="4"/>
      <c r="I23" s="4"/>
      <c r="J23" s="4"/>
      <c r="K23" s="22"/>
      <c r="L23" s="9"/>
      <c r="M23" s="9"/>
      <c r="N23" s="11"/>
      <c r="O23" s="4"/>
      <c r="P23" s="4"/>
    </row>
    <row r="24" spans="1:16" x14ac:dyDescent="0.35">
      <c r="A24" s="28"/>
      <c r="B24" s="28"/>
      <c r="C24" s="28"/>
      <c r="D24" s="28"/>
      <c r="E24" s="28"/>
      <c r="F24" s="4"/>
      <c r="G24" s="4"/>
      <c r="H24" s="4"/>
      <c r="I24" s="4"/>
      <c r="J24" s="4"/>
      <c r="K24" s="22"/>
      <c r="L24" s="9"/>
      <c r="M24" s="9"/>
      <c r="N24" s="11"/>
      <c r="O24" s="4"/>
      <c r="P24" s="4"/>
    </row>
    <row r="25" spans="1:16" x14ac:dyDescent="0.35">
      <c r="A25" s="28"/>
      <c r="B25" s="28"/>
      <c r="C25" s="28"/>
      <c r="D25" s="28"/>
      <c r="E25" s="28"/>
      <c r="F25" s="4"/>
      <c r="G25" s="4"/>
      <c r="H25" s="4"/>
      <c r="I25" s="4"/>
      <c r="J25" s="4"/>
      <c r="K25" s="22"/>
      <c r="L25" s="9"/>
      <c r="M25" s="9"/>
      <c r="N25" s="11"/>
      <c r="O25" s="4"/>
      <c r="P25" s="4"/>
    </row>
    <row r="26" spans="1:16" x14ac:dyDescent="0.35">
      <c r="A26" s="28"/>
      <c r="B26" s="28"/>
      <c r="C26" s="26"/>
      <c r="D26" s="28"/>
      <c r="E26" s="28"/>
      <c r="G26" s="4"/>
      <c r="H26" s="4"/>
      <c r="I26" s="4"/>
      <c r="J26" s="4"/>
      <c r="K26" s="22"/>
      <c r="L26" s="9"/>
      <c r="M26" s="9"/>
      <c r="N26" s="11"/>
      <c r="O26" s="4"/>
      <c r="P26" s="4"/>
    </row>
    <row r="27" spans="1:16" x14ac:dyDescent="0.35">
      <c r="A27" s="28"/>
      <c r="B27" s="28"/>
      <c r="C27" s="31"/>
      <c r="D27" s="28"/>
      <c r="E27" s="28"/>
      <c r="G27" s="4"/>
      <c r="H27" s="4"/>
      <c r="I27" s="4"/>
      <c r="J27" s="4"/>
      <c r="K27" s="22"/>
      <c r="L27" s="9"/>
      <c r="M27" s="9"/>
      <c r="N27" s="11"/>
      <c r="O27" s="4"/>
      <c r="P27" s="4"/>
    </row>
    <row r="28" spans="1:16" x14ac:dyDescent="0.35">
      <c r="A28" s="28"/>
      <c r="B28" s="28"/>
      <c r="C28" s="31"/>
      <c r="D28" s="28"/>
      <c r="E28" s="28"/>
      <c r="G28" s="4"/>
      <c r="H28" s="4"/>
      <c r="I28" s="4"/>
      <c r="J28" s="4"/>
      <c r="K28" s="22"/>
      <c r="L28" s="9"/>
      <c r="M28" s="9"/>
      <c r="N28" s="11"/>
      <c r="O28" s="4"/>
      <c r="P28" s="4"/>
    </row>
    <row r="29" spans="1:16" x14ac:dyDescent="0.35">
      <c r="A29" s="28"/>
      <c r="B29" s="28"/>
      <c r="C29" s="28"/>
      <c r="D29" s="28"/>
      <c r="E29" s="28"/>
      <c r="N29" s="1"/>
      <c r="O29" s="1"/>
      <c r="P29" s="20"/>
    </row>
    <row r="30" spans="1:16" x14ac:dyDescent="0.35">
      <c r="A30" s="28"/>
      <c r="B30" s="25"/>
      <c r="C30" s="28"/>
      <c r="D30" s="28"/>
      <c r="E30" s="28"/>
    </row>
    <row r="31" spans="1:16" x14ac:dyDescent="0.35">
      <c r="A31" s="25"/>
      <c r="B31" s="28"/>
      <c r="C31" s="27"/>
      <c r="D31" s="28"/>
      <c r="E31" s="28"/>
    </row>
    <row r="32" spans="1:16" x14ac:dyDescent="0.35">
      <c r="A32" s="28"/>
      <c r="B32" s="28"/>
      <c r="C32" s="31"/>
      <c r="D32" s="28"/>
      <c r="E32" s="28"/>
    </row>
    <row r="33" spans="1:16" x14ac:dyDescent="0.35">
      <c r="A33" s="29"/>
      <c r="B33" s="26"/>
      <c r="C33" s="31"/>
      <c r="D33" s="29"/>
      <c r="E33" s="29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35">
      <c r="A34" s="28"/>
      <c r="B34" s="28"/>
      <c r="C34" s="28"/>
      <c r="D34" s="28"/>
      <c r="E34" s="28"/>
      <c r="F34" s="4"/>
      <c r="G34" s="4"/>
      <c r="H34" s="4"/>
      <c r="I34" s="4"/>
      <c r="J34" s="4"/>
      <c r="K34" s="22"/>
      <c r="L34" s="9"/>
      <c r="M34" s="9"/>
      <c r="N34" s="11"/>
      <c r="O34" s="4"/>
      <c r="P34" s="4"/>
    </row>
    <row r="35" spans="1:16" x14ac:dyDescent="0.35">
      <c r="A35" s="28"/>
      <c r="B35" s="28"/>
      <c r="C35" s="28"/>
      <c r="D35" s="28"/>
      <c r="E35" s="28"/>
      <c r="F35" s="4"/>
      <c r="G35" s="4"/>
      <c r="H35" s="4"/>
      <c r="I35" s="4"/>
      <c r="J35" s="4"/>
      <c r="K35" s="22"/>
      <c r="L35" s="9"/>
      <c r="M35" s="9"/>
      <c r="N35" s="11"/>
      <c r="O35" s="4"/>
      <c r="P35" s="4"/>
    </row>
    <row r="36" spans="1:16" x14ac:dyDescent="0.35">
      <c r="A36" s="28"/>
      <c r="B36" s="28"/>
      <c r="C36" s="26"/>
      <c r="D36" s="28"/>
      <c r="E36" s="28"/>
    </row>
    <row r="37" spans="1:16" x14ac:dyDescent="0.35">
      <c r="A37" s="28"/>
      <c r="B37" s="28"/>
      <c r="C37" s="28"/>
      <c r="D37" s="28"/>
      <c r="E37" s="28"/>
      <c r="N37" s="11"/>
      <c r="O37" s="4"/>
      <c r="P37" s="4"/>
    </row>
    <row r="38" spans="1:16" x14ac:dyDescent="0.35">
      <c r="A38" s="28"/>
      <c r="B38" s="28"/>
      <c r="C38" s="27"/>
      <c r="D38" s="28"/>
      <c r="E38" s="28"/>
    </row>
    <row r="39" spans="1:16" x14ac:dyDescent="0.35">
      <c r="A39" s="28"/>
      <c r="B39" s="26"/>
      <c r="C39" s="27"/>
      <c r="D39" s="28"/>
      <c r="E39" s="28"/>
    </row>
    <row r="40" spans="1:16" x14ac:dyDescent="0.35">
      <c r="A40" s="28"/>
      <c r="B40" s="28"/>
      <c r="C40" s="31"/>
      <c r="D40" s="28"/>
      <c r="E40" s="28"/>
    </row>
    <row r="41" spans="1:16" x14ac:dyDescent="0.35">
      <c r="A41" s="28"/>
      <c r="B41" s="28"/>
      <c r="C41" s="31"/>
      <c r="D41" s="28"/>
      <c r="E41" s="28"/>
    </row>
    <row r="42" spans="1:16" x14ac:dyDescent="0.35">
      <c r="A42" s="28"/>
      <c r="B42" s="28"/>
      <c r="C42" s="31"/>
      <c r="D42" s="28"/>
      <c r="E42" s="28"/>
    </row>
    <row r="43" spans="1:16" x14ac:dyDescent="0.35">
      <c r="A43" s="28"/>
      <c r="B43" s="28"/>
      <c r="C43" s="28"/>
      <c r="D43" s="28"/>
      <c r="E43" s="28"/>
    </row>
    <row r="44" spans="1:16" x14ac:dyDescent="0.35">
      <c r="A44" s="28"/>
      <c r="B44" s="25"/>
      <c r="C44" s="28"/>
      <c r="D44" s="28"/>
      <c r="E44" s="28"/>
    </row>
    <row r="45" spans="1:16" x14ac:dyDescent="0.35">
      <c r="A45" s="28"/>
      <c r="B45" s="28"/>
      <c r="C45" s="27"/>
      <c r="D45" s="28"/>
      <c r="E45" s="28"/>
    </row>
    <row r="46" spans="1:16" x14ac:dyDescent="0.35">
      <c r="A46" s="28"/>
      <c r="B46" s="28"/>
      <c r="C46" s="27"/>
      <c r="D46" s="28"/>
      <c r="E46" s="28"/>
    </row>
    <row r="47" spans="1:16" x14ac:dyDescent="0.35">
      <c r="A47" s="28"/>
      <c r="B47" s="28"/>
      <c r="C47" s="31"/>
      <c r="D47" s="28"/>
      <c r="E47" s="28"/>
    </row>
    <row r="48" spans="1:16" x14ac:dyDescent="0.35">
      <c r="A48" s="28"/>
      <c r="B48" s="28"/>
      <c r="C48" s="28"/>
      <c r="D48" s="28"/>
      <c r="E48" s="28"/>
    </row>
    <row r="49" spans="1:5" x14ac:dyDescent="0.35">
      <c r="A49" s="28"/>
      <c r="B49" s="28"/>
      <c r="C49" s="28"/>
      <c r="D49" s="28"/>
      <c r="E49" s="28"/>
    </row>
    <row r="50" spans="1:5" x14ac:dyDescent="0.35">
      <c r="A50" s="28"/>
      <c r="B50" s="28"/>
      <c r="C50" s="26"/>
      <c r="D50" s="28"/>
      <c r="E50" s="28"/>
    </row>
    <row r="51" spans="1:5" x14ac:dyDescent="0.35">
      <c r="A51" s="28"/>
      <c r="B51" s="28"/>
      <c r="C51" s="28"/>
      <c r="D51" s="28"/>
      <c r="E51" s="28"/>
    </row>
    <row r="52" spans="1:5" x14ac:dyDescent="0.35">
      <c r="A52" s="28"/>
      <c r="B52" s="28"/>
      <c r="C52" s="27"/>
      <c r="D52" s="28"/>
      <c r="E52" s="28"/>
    </row>
    <row r="53" spans="1:5" x14ac:dyDescent="0.35">
      <c r="A53" s="28"/>
      <c r="B53" s="28"/>
      <c r="C53" s="27"/>
      <c r="D53" s="28"/>
      <c r="E53" s="28"/>
    </row>
    <row r="54" spans="1:5" x14ac:dyDescent="0.35">
      <c r="A54" s="28"/>
      <c r="B54" s="28"/>
      <c r="C54" s="31"/>
      <c r="D54" s="28"/>
      <c r="E54" s="28"/>
    </row>
    <row r="55" spans="1:5" x14ac:dyDescent="0.35">
      <c r="A55" s="28"/>
      <c r="B55" s="28"/>
      <c r="C55" s="28"/>
      <c r="D55" s="28"/>
      <c r="E55" s="28"/>
    </row>
    <row r="56" spans="1:5" x14ac:dyDescent="0.35">
      <c r="A56" s="28"/>
      <c r="B56" s="28"/>
      <c r="C56" s="28"/>
      <c r="D56" s="28"/>
      <c r="E56" s="28"/>
    </row>
    <row r="57" spans="1:5" x14ac:dyDescent="0.35">
      <c r="A57" s="28"/>
      <c r="B57" s="28"/>
      <c r="C57" s="28"/>
      <c r="D57" s="28"/>
      <c r="E57" s="28"/>
    </row>
  </sheetData>
  <mergeCells count="1">
    <mergeCell ref="A19:D1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D00BF-C0AD-4B3F-B58E-4BA8F5921897}">
  <sheetPr>
    <tabColor rgb="FF92D050"/>
  </sheetPr>
  <dimension ref="A1:AD13"/>
  <sheetViews>
    <sheetView workbookViewId="0">
      <selection activeCell="A3" sqref="A3"/>
    </sheetView>
  </sheetViews>
  <sheetFormatPr defaultRowHeight="14.5" x14ac:dyDescent="0.35"/>
  <cols>
    <col min="1" max="1" width="13.54296875" customWidth="1"/>
    <col min="2" max="2" width="8.81640625" bestFit="1" customWidth="1"/>
    <col min="3" max="3" width="9.7265625" bestFit="1" customWidth="1"/>
    <col min="4" max="4" width="13.81640625" customWidth="1"/>
    <col min="5" max="5" width="9.81640625" bestFit="1" customWidth="1"/>
    <col min="9" max="9" width="12.26953125" customWidth="1"/>
    <col min="10" max="10" width="14.1796875" customWidth="1"/>
    <col min="14" max="14" width="12.81640625" customWidth="1"/>
    <col min="15" max="15" width="8.81640625" bestFit="1" customWidth="1"/>
    <col min="16" max="16" width="12.7265625" customWidth="1"/>
    <col min="17" max="17" width="13.1796875" customWidth="1"/>
    <col min="18" max="18" width="13.26953125" customWidth="1"/>
    <col min="22" max="22" width="12.26953125" customWidth="1"/>
    <col min="24" max="24" width="13.453125" customWidth="1"/>
  </cols>
  <sheetData>
    <row r="1" spans="1:30" ht="21" x14ac:dyDescent="0.5">
      <c r="A1" s="40" t="s">
        <v>40</v>
      </c>
    </row>
    <row r="2" spans="1:30" ht="21" x14ac:dyDescent="0.5">
      <c r="A2" s="40" t="s">
        <v>41</v>
      </c>
    </row>
    <row r="3" spans="1:30" ht="21" x14ac:dyDescent="0.5">
      <c r="A3" s="40" t="s">
        <v>42</v>
      </c>
    </row>
    <row r="4" spans="1:30" ht="21" x14ac:dyDescent="0.5">
      <c r="A4" s="40" t="s">
        <v>43</v>
      </c>
    </row>
    <row r="5" spans="1:30" x14ac:dyDescent="0.35">
      <c r="A5" s="1"/>
      <c r="I5" s="12" t="s">
        <v>12</v>
      </c>
      <c r="J5" s="18"/>
      <c r="K5" s="13"/>
      <c r="L5" s="13"/>
      <c r="M5" s="13"/>
      <c r="N5" s="13"/>
      <c r="O5" s="13"/>
      <c r="P5" s="14"/>
      <c r="Q5" s="15" t="s">
        <v>13</v>
      </c>
      <c r="R5" s="19"/>
      <c r="S5" s="16"/>
      <c r="T5" s="16"/>
      <c r="U5" s="16"/>
      <c r="V5" s="16"/>
      <c r="W5" s="16"/>
      <c r="X5" s="17"/>
      <c r="AB5" s="1"/>
    </row>
    <row r="6" spans="1:30" ht="53.15" customHeight="1" x14ac:dyDescent="0.35">
      <c r="A6" s="5"/>
      <c r="B6" s="5" t="s">
        <v>14</v>
      </c>
      <c r="C6" s="5" t="s">
        <v>15</v>
      </c>
      <c r="D6" s="5" t="s">
        <v>16</v>
      </c>
      <c r="E6" s="5" t="s">
        <v>17</v>
      </c>
      <c r="F6" s="5" t="s">
        <v>18</v>
      </c>
      <c r="G6" s="5" t="s">
        <v>19</v>
      </c>
      <c r="H6" s="5" t="s">
        <v>20</v>
      </c>
      <c r="I6" s="6" t="s">
        <v>21</v>
      </c>
      <c r="J6" s="5" t="s">
        <v>22</v>
      </c>
      <c r="K6" s="5" t="s">
        <v>23</v>
      </c>
      <c r="L6" s="5" t="s">
        <v>24</v>
      </c>
      <c r="M6" s="5" t="s">
        <v>25</v>
      </c>
      <c r="N6" s="5" t="s">
        <v>26</v>
      </c>
      <c r="O6" s="5" t="s">
        <v>27</v>
      </c>
      <c r="P6" s="7" t="s">
        <v>28</v>
      </c>
      <c r="Q6" s="6" t="s">
        <v>29</v>
      </c>
      <c r="R6" s="5" t="s">
        <v>30</v>
      </c>
      <c r="S6" s="5" t="s">
        <v>23</v>
      </c>
      <c r="T6" s="5" t="s">
        <v>24</v>
      </c>
      <c r="U6" s="5" t="s">
        <v>25</v>
      </c>
      <c r="V6" s="5" t="s">
        <v>26</v>
      </c>
      <c r="W6" s="5" t="s">
        <v>27</v>
      </c>
      <c r="X6" s="7" t="s">
        <v>28</v>
      </c>
      <c r="Y6" s="5"/>
      <c r="Z6" s="5"/>
      <c r="AA6" s="5"/>
      <c r="AB6" s="5"/>
      <c r="AC6" s="5"/>
      <c r="AD6" s="5"/>
    </row>
    <row r="7" spans="1:30" s="32" customFormat="1" ht="13" x14ac:dyDescent="0.3">
      <c r="A7" s="32" t="s">
        <v>44</v>
      </c>
      <c r="B7" s="33">
        <v>20</v>
      </c>
      <c r="C7" s="33">
        <v>5000000</v>
      </c>
      <c r="D7" s="34">
        <v>0</v>
      </c>
      <c r="E7" s="34">
        <v>0</v>
      </c>
      <c r="F7" s="33">
        <v>50</v>
      </c>
      <c r="G7" s="33">
        <v>0</v>
      </c>
      <c r="H7" s="33">
        <v>1000</v>
      </c>
      <c r="I7" s="35">
        <f>+(H7-G7)*(F7-D7)</f>
        <v>50000</v>
      </c>
      <c r="J7" s="35">
        <f>+I7*$C7/($I7+$Q7)</f>
        <v>5000000</v>
      </c>
      <c r="K7" s="35">
        <f>IF((H7-G7)&gt;0,J7/((H7-G7)*B7),0)</f>
        <v>250</v>
      </c>
      <c r="L7" s="36">
        <f>WACC/(1-(1+WACC)^-(F7-D7))</f>
        <v>4.6550200449541529E-2</v>
      </c>
      <c r="M7" s="36">
        <f>Overheads*(F7-D7)/50</f>
        <v>1.7999999999999999E-2</v>
      </c>
      <c r="N7" s="35">
        <f>+K7*(L7+M7)</f>
        <v>16.137550112385384</v>
      </c>
      <c r="O7" s="35">
        <f>+B7*I7</f>
        <v>1000000</v>
      </c>
      <c r="P7" s="35">
        <f>+B7*I7*N7</f>
        <v>16137550.112385383</v>
      </c>
      <c r="Q7" s="37">
        <f>+(F7-E7)*G7</f>
        <v>0</v>
      </c>
      <c r="R7" s="35">
        <f>+Q7*$C7/($I7+$Q7)</f>
        <v>0</v>
      </c>
      <c r="S7" s="35">
        <f>IF(G7&gt;0,+R7/(G7*B7),0)</f>
        <v>0</v>
      </c>
      <c r="T7" s="36">
        <f>IF((F7-E7)&gt;0,WACC/(1-(1+WACC)^-(F7-E7)),0)</f>
        <v>4.6550200449541529E-2</v>
      </c>
      <c r="U7" s="36">
        <f>Overheads*(F7-E7)/50</f>
        <v>1.7999999999999999E-2</v>
      </c>
      <c r="V7" s="38">
        <f>S7*(T7+U7)</f>
        <v>0</v>
      </c>
      <c r="W7" s="35">
        <f>$B7*Q7</f>
        <v>0</v>
      </c>
      <c r="X7" s="39">
        <f>$B7*Q7*V7</f>
        <v>0</v>
      </c>
      <c r="Z7" s="35"/>
    </row>
    <row r="8" spans="1:30" s="32" customFormat="1" ht="13" x14ac:dyDescent="0.3">
      <c r="A8" s="32" t="s">
        <v>45</v>
      </c>
      <c r="B8" s="33">
        <v>30</v>
      </c>
      <c r="C8" s="33">
        <v>10000000</v>
      </c>
      <c r="D8" s="34">
        <v>0</v>
      </c>
      <c r="E8" s="34">
        <v>0</v>
      </c>
      <c r="F8" s="33">
        <v>50</v>
      </c>
      <c r="G8" s="33">
        <v>0</v>
      </c>
      <c r="H8" s="33">
        <v>2000</v>
      </c>
      <c r="I8" s="35">
        <f>+(H8-G8)*(F8-D8)</f>
        <v>100000</v>
      </c>
      <c r="J8" s="35">
        <f>+I8*$C8/($I8+$Q8)</f>
        <v>10000000</v>
      </c>
      <c r="K8" s="35">
        <f>IF((H8-G8)&gt;0,J8/((H8-G8)*B8),0)</f>
        <v>166.66666666666666</v>
      </c>
      <c r="L8" s="36">
        <f>WACC/(1-(1+WACC)^-(F8-D8))</f>
        <v>4.6550200449541529E-2</v>
      </c>
      <c r="M8" s="36">
        <f>Overheads*(F8-D8)/50</f>
        <v>1.7999999999999999E-2</v>
      </c>
      <c r="N8" s="35">
        <f>+K8*(L8+M8)</f>
        <v>10.758366741590255</v>
      </c>
      <c r="O8" s="35">
        <f>+B8*I8</f>
        <v>3000000</v>
      </c>
      <c r="P8" s="35">
        <f>+B8*I8*N8</f>
        <v>32275100.224770766</v>
      </c>
      <c r="Q8" s="37">
        <f>+(F8-E8)*G8</f>
        <v>0</v>
      </c>
      <c r="R8" s="35">
        <f>+Q8*$C8/($I8+$Q8)</f>
        <v>0</v>
      </c>
      <c r="S8" s="35">
        <f>IF(G8&gt;0,+R8/(G8*B8),0)</f>
        <v>0</v>
      </c>
      <c r="T8" s="36">
        <f>IF((F8-E8)&gt;0,WACC/(1-(1+WACC)^-(F8-E8)),0)</f>
        <v>4.6550200449541529E-2</v>
      </c>
      <c r="U8" s="36">
        <f>Overheads*(F8-E8)/50</f>
        <v>1.7999999999999999E-2</v>
      </c>
      <c r="V8" s="38">
        <f>S8*(T8+U8)</f>
        <v>0</v>
      </c>
      <c r="W8" s="35">
        <f>$B8*Q8</f>
        <v>0</v>
      </c>
      <c r="X8" s="39">
        <f>$B8*Q8*V8</f>
        <v>0</v>
      </c>
      <c r="Z8" s="35"/>
    </row>
    <row r="9" spans="1:30" s="32" customFormat="1" ht="13" x14ac:dyDescent="0.3">
      <c r="A9" s="32" t="s">
        <v>46</v>
      </c>
      <c r="B9" s="33">
        <v>20</v>
      </c>
      <c r="C9" s="33">
        <v>2000000</v>
      </c>
      <c r="D9" s="34">
        <v>30</v>
      </c>
      <c r="E9" s="34">
        <v>50</v>
      </c>
      <c r="F9" s="33">
        <v>50</v>
      </c>
      <c r="G9" s="33">
        <v>500</v>
      </c>
      <c r="H9" s="33">
        <v>1000</v>
      </c>
      <c r="I9" s="35">
        <f>+(H9-G9)*(F9-D9)</f>
        <v>10000</v>
      </c>
      <c r="J9" s="35">
        <f>+I9*$C9/($I9+$Q9)</f>
        <v>2000000</v>
      </c>
      <c r="K9" s="35">
        <f>IF((H9-G9)&gt;0,J9/((H9-G9)*B9),0)</f>
        <v>200</v>
      </c>
      <c r="L9" s="36">
        <f>WACC/(1-(1+WACC)^-(F9-D9))</f>
        <v>7.3581750328628834E-2</v>
      </c>
      <c r="M9" s="36">
        <f>Overheads*(F9-D9)/50</f>
        <v>7.1999999999999998E-3</v>
      </c>
      <c r="N9" s="35">
        <f>+K9*(L9+M9)</f>
        <v>16.156350065725768</v>
      </c>
      <c r="O9" s="35">
        <f>+B9*I9</f>
        <v>200000</v>
      </c>
      <c r="P9" s="35">
        <f>+B9*I9*N9</f>
        <v>3231270.0131451534</v>
      </c>
      <c r="Q9" s="37">
        <f>+(F9-E9)*G9</f>
        <v>0</v>
      </c>
      <c r="R9" s="35">
        <f>+Q9*$C9/($I9+$Q9)</f>
        <v>0</v>
      </c>
      <c r="S9" s="35">
        <f>IF(G9&gt;0,+R9/(G9*B9),0)</f>
        <v>0</v>
      </c>
      <c r="T9" s="36">
        <f>IF((F9-E9)&gt;0,WACC/(1-(1+WACC)^-(F9-E9)),0)</f>
        <v>0</v>
      </c>
      <c r="U9" s="36">
        <f>Overheads*(F9-E9)/50</f>
        <v>0</v>
      </c>
      <c r="V9" s="38">
        <f>S9*(T9+U9)</f>
        <v>0</v>
      </c>
      <c r="W9" s="35">
        <f>$B9*Q9</f>
        <v>0</v>
      </c>
      <c r="X9" s="39">
        <f>$B9*Q9*V9</f>
        <v>0</v>
      </c>
      <c r="Z9" s="35"/>
    </row>
    <row r="10" spans="1:30" s="32" customFormat="1" ht="13" x14ac:dyDescent="0.3">
      <c r="A10" s="32" t="s">
        <v>47</v>
      </c>
      <c r="B10" s="33">
        <v>30</v>
      </c>
      <c r="C10" s="33">
        <v>4000000</v>
      </c>
      <c r="D10" s="34">
        <v>40</v>
      </c>
      <c r="E10" s="34">
        <v>50</v>
      </c>
      <c r="F10" s="33">
        <v>70</v>
      </c>
      <c r="G10" s="33">
        <v>600</v>
      </c>
      <c r="H10" s="33">
        <v>1500</v>
      </c>
      <c r="I10" s="35">
        <f>+(H10-G10)*(F10-D10)</f>
        <v>27000</v>
      </c>
      <c r="J10" s="35">
        <f>+I10*$C10/($I10+$Q10)</f>
        <v>2769230.769230769</v>
      </c>
      <c r="K10" s="35">
        <f>IF((H10-G10)&gt;0,J10/((H10-G10)*B10),0)</f>
        <v>102.56410256410255</v>
      </c>
      <c r="L10" s="36">
        <f>WACC/(1-(1+WACC)^-(F10-D10))</f>
        <v>5.78300991336613E-2</v>
      </c>
      <c r="M10" s="36">
        <f>Overheads*(F10-D10)/50</f>
        <v>1.0799999999999999E-2</v>
      </c>
      <c r="N10" s="35">
        <f>+K10*(L10+M10)</f>
        <v>7.0389845265293642</v>
      </c>
      <c r="O10" s="35">
        <f>+B10*I10</f>
        <v>810000</v>
      </c>
      <c r="P10" s="35">
        <f>+B10*I10*N10</f>
        <v>5701577.4664887851</v>
      </c>
      <c r="Q10" s="37">
        <f>+(F10-E10)*G10</f>
        <v>12000</v>
      </c>
      <c r="R10" s="35">
        <f>+Q10*$C10/($I10+$Q10)</f>
        <v>1230769.2307692308</v>
      </c>
      <c r="S10" s="35">
        <f>IF(G10&gt;0,+R10/(G10*B10),0)</f>
        <v>68.376068376068375</v>
      </c>
      <c r="T10" s="36">
        <f>IF((F10-E10)&gt;0,WACC/(1-(1+WACC)^-(F10-E10)),0)</f>
        <v>7.3581750328628834E-2</v>
      </c>
      <c r="U10" s="36">
        <f>Overheads*(F10-E10)/50</f>
        <v>7.1999999999999998E-3</v>
      </c>
      <c r="V10" s="38">
        <f>S10*(T10+U10)</f>
        <v>5.5235384840088093</v>
      </c>
      <c r="W10" s="35">
        <f>$B10*Q10</f>
        <v>360000</v>
      </c>
      <c r="X10" s="39">
        <f>$B10*Q10*V10</f>
        <v>1988473.8542431714</v>
      </c>
      <c r="Z10" s="35"/>
    </row>
    <row r="11" spans="1:30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4" t="s">
        <v>38</v>
      </c>
      <c r="W12" s="4">
        <f>SUM(W7:W10,O7:O10)</f>
        <v>5370000</v>
      </c>
      <c r="X12" s="4">
        <f>SUM(X7:X10,P7:P10)</f>
        <v>59333971.671033263</v>
      </c>
      <c r="Y12" s="5"/>
      <c r="Z12" s="5"/>
      <c r="AA12" s="5"/>
      <c r="AB12" s="5"/>
      <c r="AC12" s="5"/>
      <c r="AD12" s="5"/>
    </row>
    <row r="13" spans="1:30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1" t="s">
        <v>39</v>
      </c>
      <c r="X13" s="21">
        <f>X12/W12</f>
        <v>11.049156735760384</v>
      </c>
      <c r="Y13" s="5"/>
      <c r="Z13" s="5"/>
      <c r="AA13" s="5"/>
      <c r="AB13" s="5"/>
      <c r="AC13" s="5"/>
      <c r="AD13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D77A8-7FBA-434E-82B4-3CE2A42314D1}">
  <dimension ref="B1:C3"/>
  <sheetViews>
    <sheetView tabSelected="1" workbookViewId="0">
      <selection activeCell="C5" sqref="C5"/>
    </sheetView>
  </sheetViews>
  <sheetFormatPr defaultRowHeight="14.5" x14ac:dyDescent="0.35"/>
  <cols>
    <col min="2" max="2" width="21.81640625" customWidth="1"/>
  </cols>
  <sheetData>
    <row r="1" spans="2:3" x14ac:dyDescent="0.35">
      <c r="B1" s="23" t="s">
        <v>48</v>
      </c>
    </row>
    <row r="2" spans="2:3" x14ac:dyDescent="0.35">
      <c r="B2" t="s">
        <v>49</v>
      </c>
      <c r="C2" s="2">
        <v>0.04</v>
      </c>
    </row>
    <row r="3" spans="2:3" x14ac:dyDescent="0.35">
      <c r="B3" t="s">
        <v>50</v>
      </c>
      <c r="C3" s="2">
        <v>1.7999999999999999E-2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f71abe4e-f5ff-49cd-8eff-5f4949acc51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41AF28-BEA9-436B-B873-23FB66DD2C6F}">
  <ds:schemaRefs>
    <ds:schemaRef ds:uri="cadce026-d35b-4a62-a2ee-1436bb44fb55"/>
    <ds:schemaRef ds:uri="http://purl.org/dc/terms/"/>
    <ds:schemaRef ds:uri="f71abe4e-f5ff-49cd-8eff-5f4949acc510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97b6fe81-1556-4112-94ca-31043ca39b7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F18775-4F01-453C-9717-D72DDDE64E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b8e2f82-8a37-4c09-b7de-ed06547b5a20}" enabled="0" method="" siteId="{db8e2f82-8a37-4c09-b7de-ed06547b5a2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Guide</vt:lpstr>
      <vt:lpstr>CMP 375 - figure 7 WG rep</vt:lpstr>
      <vt:lpstr>CMP315 subs illustrated</vt:lpstr>
      <vt:lpstr>Constants</vt:lpstr>
      <vt:lpstr>MEA_Cost2</vt:lpstr>
      <vt:lpstr>Overheads</vt:lpstr>
      <vt:lpstr>WACC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 Sillito</dc:creator>
  <cp:keywords/>
  <dc:description/>
  <cp:lastModifiedBy>Claire Huxley (ESO)</cp:lastModifiedBy>
  <cp:revision/>
  <dcterms:created xsi:type="dcterms:W3CDTF">2022-06-10T07:33:58Z</dcterms:created>
  <dcterms:modified xsi:type="dcterms:W3CDTF">2023-09-29T13:17:22Z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